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855" windowHeight="8085" activeTab="2"/>
  </bookViews>
  <sheets>
    <sheet name="Demonstrações_Contábeis" sheetId="1" r:id="rId1"/>
    <sheet name="Movimentação_Analítica" sheetId="2" r:id="rId2"/>
    <sheet name="DFC_-_Direto_e_Indireto" sheetId="3" r:id="rId3"/>
  </sheets>
  <definedNames/>
  <calcPr fullCalcOnLoad="1"/>
</workbook>
</file>

<file path=xl/sharedStrings.xml><?xml version="1.0" encoding="utf-8"?>
<sst xmlns="http://schemas.openxmlformats.org/spreadsheetml/2006/main" count="141" uniqueCount="104">
  <si>
    <t>Ativo</t>
  </si>
  <si>
    <t>31/12/X0</t>
  </si>
  <si>
    <t>31/12/X1</t>
  </si>
  <si>
    <t>Ativo Circulante</t>
  </si>
  <si>
    <t>Caixa e Bancos</t>
  </si>
  <si>
    <t>Duplicatas s Receber</t>
  </si>
  <si>
    <t>(-) Provisão Devedores Duvidosos</t>
  </si>
  <si>
    <t>Títulos a Receber</t>
  </si>
  <si>
    <t>Despesas Antecipadas</t>
  </si>
  <si>
    <t>Subtotal</t>
  </si>
  <si>
    <t>Ativo não Circulante</t>
  </si>
  <si>
    <t>Ativo Permanente</t>
  </si>
  <si>
    <t>Imóveis</t>
  </si>
  <si>
    <t>(-) Depreciação Acumulada</t>
  </si>
  <si>
    <t>Investimentos</t>
  </si>
  <si>
    <t>Total do Ativo</t>
  </si>
  <si>
    <t>Passivo</t>
  </si>
  <si>
    <t>Passivo Circulante</t>
  </si>
  <si>
    <t>Fornecedores</t>
  </si>
  <si>
    <t>Impostos a Pagar</t>
  </si>
  <si>
    <t>Passivo não Circulante</t>
  </si>
  <si>
    <t>Exigibilidades de Longo Prazo</t>
  </si>
  <si>
    <t>Financiamentos no Exterior</t>
  </si>
  <si>
    <t>Patrimônio Líquido</t>
  </si>
  <si>
    <t>Capital</t>
  </si>
  <si>
    <t>Reservas</t>
  </si>
  <si>
    <t>Lucros Acumulados</t>
  </si>
  <si>
    <t>Total do Passivo</t>
  </si>
  <si>
    <t>Receita de Serviços</t>
  </si>
  <si>
    <t>(-) Custo dos Serviços Prestados</t>
  </si>
  <si>
    <t>(=) Resultado Bruto</t>
  </si>
  <si>
    <t>(-) Despesas:</t>
  </si>
  <si>
    <t>Depreciação</t>
  </si>
  <si>
    <t>Devedores Duvidosos</t>
  </si>
  <si>
    <t>Financeiras</t>
  </si>
  <si>
    <t>Variação Cambial</t>
  </si>
  <si>
    <t>Outras Despesas Operacionais</t>
  </si>
  <si>
    <t>(=) Lucro Antes do IR e CS</t>
  </si>
  <si>
    <t>(-) Provisão IR e CS</t>
  </si>
  <si>
    <t>(=) Lucro Líquido</t>
  </si>
  <si>
    <t>Demonstração do Resultado do Exercício - 31/12/X1     (em $)</t>
  </si>
  <si>
    <t>Demonstração das Mutações do Patrimônio Líquido - 31/12/X1   (em $)</t>
  </si>
  <si>
    <t>Natureza</t>
  </si>
  <si>
    <t>Total</t>
  </si>
  <si>
    <t>Saldo em 31/12/X0</t>
  </si>
  <si>
    <t>Aumento de Capital</t>
  </si>
  <si>
    <t>Lucro do Exercício</t>
  </si>
  <si>
    <t>Distribuição de Dividendos</t>
  </si>
  <si>
    <t>Saldo em 31/12/X1</t>
  </si>
  <si>
    <t>si</t>
  </si>
  <si>
    <t>Vendas</t>
  </si>
  <si>
    <t>sf</t>
  </si>
  <si>
    <t>Recebimentos</t>
  </si>
  <si>
    <t>Movimentação Analítica das Contas</t>
  </si>
  <si>
    <t>Atividades Operacionais</t>
  </si>
  <si>
    <t>Recebimentos de Clientes</t>
  </si>
  <si>
    <t>Lucro Líquido</t>
  </si>
  <si>
    <t>Pagamentos a Fornecedores</t>
  </si>
  <si>
    <t>Mais depreciação</t>
  </si>
  <si>
    <t>Pagamentos de Despesas</t>
  </si>
  <si>
    <t>Diminuição em Fornecedores</t>
  </si>
  <si>
    <t>Pagamento de Imposto de Renda</t>
  </si>
  <si>
    <t>Diminuição em Despesas Antecipadas</t>
  </si>
  <si>
    <t>Caixa Gerado nas Atividades Operacionais</t>
  </si>
  <si>
    <t>Atividades de Investimento</t>
  </si>
  <si>
    <t>Caixa Consumido nas Atividades de Investimento</t>
  </si>
  <si>
    <t>Atividades de Financiamento</t>
  </si>
  <si>
    <t>Pagamento de Dividendos</t>
  </si>
  <si>
    <t>Custo dos Serviços Prestados</t>
  </si>
  <si>
    <t>Despesa Imposto do Período</t>
  </si>
  <si>
    <t>Pagamento</t>
  </si>
  <si>
    <t>Despesas Operacionais</t>
  </si>
  <si>
    <t>Despesas Período</t>
  </si>
  <si>
    <t>Realização Despesa Antecipada</t>
  </si>
  <si>
    <t>si = saldo inicial</t>
  </si>
  <si>
    <t>sf = saldo final</t>
  </si>
  <si>
    <t>Pagamento de Imposto</t>
  </si>
  <si>
    <t>Pagamento a Fornecedores</t>
  </si>
  <si>
    <t>Compra de Imóveis</t>
  </si>
  <si>
    <t>Aumento em Investimentos</t>
  </si>
  <si>
    <t>Saldo inicial</t>
  </si>
  <si>
    <t>Saldo final</t>
  </si>
  <si>
    <t>Variação no Caixa</t>
  </si>
  <si>
    <t>DFC - Método Direto em 31/12/X1 (em $)</t>
  </si>
  <si>
    <t>DFC - Método Indireto em 31/12/X1 (em $)</t>
  </si>
  <si>
    <t>Duplicatas a Receber e Títulos (Líquido)</t>
  </si>
  <si>
    <t>Caixa</t>
  </si>
  <si>
    <t>Aumento das Disponibilidades</t>
  </si>
  <si>
    <t>Mais Variação Cambial</t>
  </si>
  <si>
    <t>Diminuição em Impostos a Pagar</t>
  </si>
  <si>
    <t>Diminuição em Duplicatas a Receber e Títulos (Líquido)</t>
  </si>
  <si>
    <t>EMPRESA XYZ</t>
  </si>
  <si>
    <t>Tributos Diferidos</t>
  </si>
  <si>
    <t>Compensação Trib Dif</t>
  </si>
  <si>
    <t>Empréstimos e Financiamentos</t>
  </si>
  <si>
    <t>(=) Resultado Antes Desp. Financ</t>
  </si>
  <si>
    <t>Encargos Financeiros</t>
  </si>
  <si>
    <t>Captação de Empréstimos</t>
  </si>
  <si>
    <t>Pagamento Empréstimos</t>
  </si>
  <si>
    <t>Pagamento de Empréstimos</t>
  </si>
  <si>
    <t>Mais Encargos Financeiros Empréstimos</t>
  </si>
  <si>
    <t>Mais Compensação Tributos Diferidos</t>
  </si>
  <si>
    <t>Caixa Gerado nas Atividades de Financiamento</t>
  </si>
  <si>
    <t>var</t>
  </si>
</sst>
</file>

<file path=xl/styles.xml><?xml version="1.0" encoding="utf-8"?>
<styleSheet xmlns="http://schemas.openxmlformats.org/spreadsheetml/2006/main">
  <numFmts count="2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9"/>
      <name val="Calibri"/>
      <family val="2"/>
    </font>
    <font>
      <u val="single"/>
      <sz val="11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F0"/>
      <name val="Calibri"/>
      <family val="2"/>
    </font>
    <font>
      <u val="single"/>
      <sz val="11"/>
      <color theme="0"/>
      <name val="Calibri"/>
      <family val="2"/>
    </font>
    <font>
      <b/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8" borderId="10" xfId="0" applyFont="1" applyFill="1" applyBorder="1" applyAlignment="1">
      <alignment/>
    </xf>
    <xf numFmtId="0" fontId="42" fillId="8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44" fillId="33" borderId="13" xfId="0" applyNumberFormat="1" applyFont="1" applyFill="1" applyBorder="1" applyAlignment="1">
      <alignment/>
    </xf>
    <xf numFmtId="3" fontId="44" fillId="33" borderId="14" xfId="0" applyNumberFormat="1" applyFont="1" applyFill="1" applyBorder="1" applyAlignment="1">
      <alignment/>
    </xf>
    <xf numFmtId="0" fontId="42" fillId="33" borderId="12" xfId="0" applyFont="1" applyFill="1" applyBorder="1" applyAlignment="1">
      <alignment horizontal="left" indent="1"/>
    </xf>
    <xf numFmtId="3" fontId="42" fillId="33" borderId="13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left" indent="1"/>
    </xf>
    <xf numFmtId="3" fontId="42" fillId="33" borderId="16" xfId="0" applyNumberFormat="1" applyFont="1" applyFill="1" applyBorder="1" applyAlignment="1">
      <alignment/>
    </xf>
    <xf numFmtId="3" fontId="42" fillId="33" borderId="17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 horizontal="left" indent="2"/>
    </xf>
    <xf numFmtId="3" fontId="44" fillId="33" borderId="0" xfId="0" applyNumberFormat="1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3" fontId="42" fillId="33" borderId="18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3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27" fillId="0" borderId="0" xfId="0" applyFont="1" applyFill="1" applyAlignment="1">
      <alignment/>
    </xf>
    <xf numFmtId="3" fontId="22" fillId="0" borderId="21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42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9" xfId="0" applyNumberFormat="1" applyFill="1" applyBorder="1" applyAlignment="1">
      <alignment horizontal="left" indent="1"/>
    </xf>
    <xf numFmtId="3" fontId="0" fillId="0" borderId="26" xfId="0" applyNumberFormat="1" applyFill="1" applyBorder="1" applyAlignment="1">
      <alignment horizontal="left" indent="1"/>
    </xf>
    <xf numFmtId="0" fontId="43" fillId="0" borderId="26" xfId="0" applyFont="1" applyFill="1" applyBorder="1" applyAlignment="1">
      <alignment horizontal="left" indent="1"/>
    </xf>
    <xf numFmtId="3" fontId="47" fillId="0" borderId="26" xfId="0" applyNumberFormat="1" applyFont="1" applyFill="1" applyBorder="1" applyAlignment="1">
      <alignment/>
    </xf>
    <xf numFmtId="3" fontId="42" fillId="0" borderId="20" xfId="0" applyNumberFormat="1" applyFont="1" applyFill="1" applyBorder="1" applyAlignment="1">
      <alignment/>
    </xf>
    <xf numFmtId="3" fontId="42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0" fontId="0" fillId="0" borderId="26" xfId="0" applyFill="1" applyBorder="1" applyAlignment="1">
      <alignment horizontal="left" indent="1"/>
    </xf>
    <xf numFmtId="3" fontId="42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left" indent="1"/>
    </xf>
    <xf numFmtId="0" fontId="0" fillId="0" borderId="26" xfId="0" applyFill="1" applyBorder="1" applyAlignment="1">
      <alignment/>
    </xf>
    <xf numFmtId="0" fontId="42" fillId="0" borderId="28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left"/>
    </xf>
    <xf numFmtId="3" fontId="42" fillId="33" borderId="10" xfId="0" applyNumberFormat="1" applyFont="1" applyFill="1" applyBorder="1" applyAlignment="1">
      <alignment horizontal="center"/>
    </xf>
    <xf numFmtId="3" fontId="42" fillId="33" borderId="3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3" fontId="0" fillId="33" borderId="11" xfId="0" applyNumberForma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8" borderId="31" xfId="0" applyFont="1" applyFill="1" applyBorder="1" applyAlignment="1">
      <alignment horizontal="center"/>
    </xf>
    <xf numFmtId="0" fontId="42" fillId="8" borderId="30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3" fontId="42" fillId="33" borderId="11" xfId="0" applyNumberFormat="1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7">
      <selection activeCell="A31" sqref="A31"/>
    </sheetView>
  </sheetViews>
  <sheetFormatPr defaultColWidth="9.140625" defaultRowHeight="15"/>
  <cols>
    <col min="1" max="1" width="1.57421875" style="0" customWidth="1"/>
    <col min="2" max="2" width="31.421875" style="0" bestFit="1" customWidth="1"/>
    <col min="3" max="3" width="9.140625" style="0" bestFit="1" customWidth="1"/>
    <col min="4" max="4" width="8.8515625" style="0" bestFit="1" customWidth="1"/>
    <col min="5" max="5" width="2.421875" style="0" customWidth="1"/>
    <col min="6" max="8" width="10.7109375" style="0" customWidth="1"/>
    <col min="9" max="10" width="2.421875" style="0" customWidth="1"/>
    <col min="11" max="11" width="29.7109375" style="0" bestFit="1" customWidth="1"/>
    <col min="12" max="13" width="0" style="0" hidden="1" customWidth="1"/>
    <col min="16" max="16" width="9.8515625" style="0" bestFit="1" customWidth="1"/>
    <col min="17" max="17" width="2.28125" style="0" customWidth="1"/>
    <col min="20" max="20" width="7.57421875" style="0" customWidth="1"/>
  </cols>
  <sheetData>
    <row r="2" spans="2:25" ht="15">
      <c r="B2" s="70" t="s">
        <v>91</v>
      </c>
      <c r="C2" s="71"/>
      <c r="D2" s="71"/>
      <c r="K2" s="70" t="s">
        <v>40</v>
      </c>
      <c r="L2" s="71"/>
      <c r="M2" s="71"/>
      <c r="N2" s="71"/>
      <c r="O2" s="71"/>
      <c r="P2" s="72"/>
      <c r="R2" s="73" t="s">
        <v>41</v>
      </c>
      <c r="S2" s="73"/>
      <c r="T2" s="73"/>
      <c r="U2" s="73"/>
      <c r="V2" s="73"/>
      <c r="W2" s="73"/>
      <c r="X2" s="73"/>
      <c r="Y2" s="73"/>
    </row>
    <row r="3" spans="2:25" ht="15">
      <c r="B3" s="2" t="s">
        <v>0</v>
      </c>
      <c r="C3" s="3" t="s">
        <v>2</v>
      </c>
      <c r="D3" s="3" t="s">
        <v>1</v>
      </c>
      <c r="F3" s="57" t="s">
        <v>51</v>
      </c>
      <c r="G3" s="57" t="s">
        <v>49</v>
      </c>
      <c r="H3" s="57" t="s">
        <v>103</v>
      </c>
      <c r="K3" s="17" t="s">
        <v>28</v>
      </c>
      <c r="L3" s="18"/>
      <c r="M3" s="18"/>
      <c r="N3" s="19"/>
      <c r="O3" s="19"/>
      <c r="P3" s="8">
        <v>4500000</v>
      </c>
      <c r="R3" s="65" t="s">
        <v>42</v>
      </c>
      <c r="S3" s="65"/>
      <c r="T3" s="65"/>
      <c r="U3" s="25" t="s">
        <v>24</v>
      </c>
      <c r="V3" s="25" t="s">
        <v>25</v>
      </c>
      <c r="W3" s="74" t="s">
        <v>26</v>
      </c>
      <c r="X3" s="74"/>
      <c r="Y3" s="25" t="s">
        <v>43</v>
      </c>
    </row>
    <row r="4" spans="2:25" ht="15">
      <c r="B4" s="4" t="s">
        <v>3</v>
      </c>
      <c r="C4" s="5"/>
      <c r="D4" s="5"/>
      <c r="K4" s="6" t="s">
        <v>29</v>
      </c>
      <c r="L4" s="18"/>
      <c r="M4" s="18"/>
      <c r="N4" s="19"/>
      <c r="O4" s="19"/>
      <c r="P4" s="10">
        <v>-3500000</v>
      </c>
      <c r="R4" s="65" t="s">
        <v>44</v>
      </c>
      <c r="S4" s="65"/>
      <c r="T4" s="65"/>
      <c r="U4" s="26">
        <v>375000</v>
      </c>
      <c r="V4" s="26">
        <v>56250</v>
      </c>
      <c r="W4" s="75">
        <v>280000</v>
      </c>
      <c r="X4" s="75">
        <v>0</v>
      </c>
      <c r="Y4" s="26">
        <f>SUM(U4:X4)</f>
        <v>711250</v>
      </c>
    </row>
    <row r="5" spans="2:25" ht="15">
      <c r="B5" s="6" t="s">
        <v>4</v>
      </c>
      <c r="C5" s="7">
        <v>537500</v>
      </c>
      <c r="D5" s="7">
        <v>168750</v>
      </c>
      <c r="E5" s="1"/>
      <c r="F5" s="1">
        <f>C5</f>
        <v>537500</v>
      </c>
      <c r="G5" s="1">
        <f>D5</f>
        <v>168750</v>
      </c>
      <c r="H5" s="1">
        <f>G5-F5</f>
        <v>-368750</v>
      </c>
      <c r="I5" s="1"/>
      <c r="J5" s="1"/>
      <c r="K5" s="6" t="s">
        <v>30</v>
      </c>
      <c r="L5" s="18"/>
      <c r="M5" s="18"/>
      <c r="N5" s="19"/>
      <c r="O5" s="19"/>
      <c r="P5" s="8">
        <v>1000000</v>
      </c>
      <c r="R5" s="68" t="s">
        <v>45</v>
      </c>
      <c r="S5" s="68"/>
      <c r="T5" s="68"/>
      <c r="U5" s="27">
        <v>62500</v>
      </c>
      <c r="V5" s="27">
        <v>0</v>
      </c>
      <c r="W5" s="69">
        <v>0</v>
      </c>
      <c r="X5" s="69">
        <v>0</v>
      </c>
      <c r="Y5" s="27">
        <f>SUM(U5:X5)</f>
        <v>62500</v>
      </c>
    </row>
    <row r="6" spans="2:25" ht="15">
      <c r="B6" s="6" t="s">
        <v>5</v>
      </c>
      <c r="C6" s="7">
        <v>225000</v>
      </c>
      <c r="D6" s="7">
        <v>312500</v>
      </c>
      <c r="F6" s="1">
        <f>SUM(C6:C8)</f>
        <v>212500</v>
      </c>
      <c r="G6" s="1">
        <f>SUM(D6:D8)</f>
        <v>521250</v>
      </c>
      <c r="H6" s="1">
        <f>G6-F6</f>
        <v>308750</v>
      </c>
      <c r="K6" s="6" t="s">
        <v>31</v>
      </c>
      <c r="L6" s="18"/>
      <c r="M6" s="18"/>
      <c r="N6" s="19"/>
      <c r="O6" s="19"/>
      <c r="P6" s="8"/>
      <c r="R6" s="68" t="s">
        <v>46</v>
      </c>
      <c r="S6" s="68"/>
      <c r="T6" s="68"/>
      <c r="U6" s="27">
        <v>0</v>
      </c>
      <c r="V6" s="27">
        <v>6250</v>
      </c>
      <c r="W6" s="69">
        <f>P16-V6</f>
        <v>44250</v>
      </c>
      <c r="X6" s="69">
        <v>0</v>
      </c>
      <c r="Y6" s="27">
        <f>SUM(U6:X6)</f>
        <v>50500</v>
      </c>
    </row>
    <row r="7" spans="2:25" ht="15">
      <c r="B7" s="6" t="s">
        <v>6</v>
      </c>
      <c r="C7" s="7">
        <v>-12500</v>
      </c>
      <c r="D7" s="7">
        <v>-10000</v>
      </c>
      <c r="K7" s="20" t="s">
        <v>32</v>
      </c>
      <c r="L7" s="18"/>
      <c r="M7" s="18"/>
      <c r="N7" s="19"/>
      <c r="O7" s="19">
        <v>50000</v>
      </c>
      <c r="P7" s="8">
        <v>0</v>
      </c>
      <c r="R7" s="68" t="s">
        <v>47</v>
      </c>
      <c r="S7" s="68"/>
      <c r="T7" s="68"/>
      <c r="U7" s="27">
        <v>0</v>
      </c>
      <c r="V7" s="27">
        <v>0</v>
      </c>
      <c r="W7" s="69">
        <v>-75000</v>
      </c>
      <c r="X7" s="69">
        <v>0</v>
      </c>
      <c r="Y7" s="27">
        <f>SUM(U7:X7)</f>
        <v>-75000</v>
      </c>
    </row>
    <row r="8" spans="2:25" ht="15">
      <c r="B8" s="6" t="s">
        <v>7</v>
      </c>
      <c r="C8" s="7">
        <v>0</v>
      </c>
      <c r="D8" s="7">
        <v>218750</v>
      </c>
      <c r="K8" s="20" t="s">
        <v>33</v>
      </c>
      <c r="L8" s="18"/>
      <c r="M8" s="18"/>
      <c r="N8" s="19"/>
      <c r="O8" s="19">
        <v>12500</v>
      </c>
      <c r="P8" s="8">
        <v>0</v>
      </c>
      <c r="R8" s="65" t="s">
        <v>48</v>
      </c>
      <c r="S8" s="65"/>
      <c r="T8" s="65"/>
      <c r="U8" s="26">
        <f>SUM(U4:U7)</f>
        <v>437500</v>
      </c>
      <c r="V8" s="26">
        <f>SUM(V4:V7)</f>
        <v>62500</v>
      </c>
      <c r="W8" s="66">
        <f>SUM(W4:X7)</f>
        <v>249250</v>
      </c>
      <c r="X8" s="67"/>
      <c r="Y8" s="26">
        <f>SUM(Y4:Y7)</f>
        <v>749250</v>
      </c>
    </row>
    <row r="9" spans="2:16" ht="15">
      <c r="B9" s="6" t="s">
        <v>8</v>
      </c>
      <c r="C9" s="9">
        <v>1250</v>
      </c>
      <c r="D9" s="9">
        <v>2500</v>
      </c>
      <c r="F9" s="1">
        <f>C9</f>
        <v>1250</v>
      </c>
      <c r="G9" s="1">
        <f>D9</f>
        <v>2500</v>
      </c>
      <c r="H9" s="1">
        <f>G9-F9</f>
        <v>1250</v>
      </c>
      <c r="K9" s="20" t="s">
        <v>34</v>
      </c>
      <c r="L9" s="18"/>
      <c r="M9" s="18"/>
      <c r="N9" s="19"/>
      <c r="O9" s="19">
        <v>17500</v>
      </c>
      <c r="P9" s="8">
        <v>0</v>
      </c>
    </row>
    <row r="10" spans="2:16" ht="15">
      <c r="B10" s="6" t="s">
        <v>92</v>
      </c>
      <c r="C10" s="9">
        <v>0</v>
      </c>
      <c r="D10" s="9">
        <v>15000</v>
      </c>
      <c r="K10" s="20" t="s">
        <v>35</v>
      </c>
      <c r="L10" s="18"/>
      <c r="M10" s="18"/>
      <c r="N10" s="19"/>
      <c r="O10" s="19">
        <v>50000</v>
      </c>
      <c r="P10" s="8">
        <v>0</v>
      </c>
    </row>
    <row r="11" spans="2:23" ht="15">
      <c r="B11" s="11" t="s">
        <v>9</v>
      </c>
      <c r="C11" s="12">
        <f>SUM(C5:C10)</f>
        <v>751250</v>
      </c>
      <c r="D11" s="12">
        <f>SUM(D5:D10)</f>
        <v>707500</v>
      </c>
      <c r="K11" s="20" t="s">
        <v>36</v>
      </c>
      <c r="L11" s="18"/>
      <c r="M11" s="18"/>
      <c r="N11" s="19"/>
      <c r="O11" s="21">
        <v>737500</v>
      </c>
      <c r="P11" s="10">
        <f>-SUM(O7:O11)</f>
        <v>-867500</v>
      </c>
      <c r="W11">
        <f>-37.5*2</f>
        <v>-75</v>
      </c>
    </row>
    <row r="12" spans="2:16" ht="15">
      <c r="B12" s="4" t="s">
        <v>10</v>
      </c>
      <c r="C12" s="7"/>
      <c r="D12" s="7"/>
      <c r="K12" s="6" t="s">
        <v>95</v>
      </c>
      <c r="L12" s="18"/>
      <c r="M12" s="18"/>
      <c r="N12" s="19"/>
      <c r="O12" s="21"/>
      <c r="P12" s="10">
        <f>P5+P11</f>
        <v>132500</v>
      </c>
    </row>
    <row r="13" spans="2:16" ht="15">
      <c r="B13" s="6" t="s">
        <v>11</v>
      </c>
      <c r="C13" s="7"/>
      <c r="D13" s="7"/>
      <c r="K13" s="20" t="s">
        <v>96</v>
      </c>
      <c r="L13" s="18"/>
      <c r="M13" s="18"/>
      <c r="N13" s="19"/>
      <c r="O13" s="21">
        <v>37000</v>
      </c>
      <c r="P13" s="10">
        <f>-O13</f>
        <v>-37000</v>
      </c>
    </row>
    <row r="14" spans="2:16" ht="15">
      <c r="B14" s="6" t="s">
        <v>12</v>
      </c>
      <c r="C14" s="7">
        <v>487500</v>
      </c>
      <c r="D14" s="7">
        <v>437500</v>
      </c>
      <c r="F14" s="1">
        <f>C14</f>
        <v>487500</v>
      </c>
      <c r="G14" s="1">
        <f>D14</f>
        <v>437500</v>
      </c>
      <c r="H14" s="1">
        <f>G14-F14</f>
        <v>-50000</v>
      </c>
      <c r="K14" s="6" t="s">
        <v>37</v>
      </c>
      <c r="L14" s="18"/>
      <c r="M14" s="18"/>
      <c r="N14" s="19"/>
      <c r="O14" s="19"/>
      <c r="P14" s="8">
        <f>P12+P13</f>
        <v>95500</v>
      </c>
    </row>
    <row r="15" spans="2:16" ht="15">
      <c r="B15" s="6" t="s">
        <v>13</v>
      </c>
      <c r="C15" s="7">
        <v>-181250</v>
      </c>
      <c r="D15" s="7">
        <v>-131250</v>
      </c>
      <c r="K15" s="6" t="s">
        <v>38</v>
      </c>
      <c r="L15" s="18"/>
      <c r="M15" s="18"/>
      <c r="N15" s="19"/>
      <c r="O15" s="19"/>
      <c r="P15" s="10">
        <v>-45000</v>
      </c>
    </row>
    <row r="16" spans="2:16" ht="15">
      <c r="B16" s="6" t="s">
        <v>14</v>
      </c>
      <c r="C16" s="9">
        <v>143750</v>
      </c>
      <c r="D16" s="9">
        <v>100000</v>
      </c>
      <c r="F16" s="1">
        <f>C16</f>
        <v>143750</v>
      </c>
      <c r="G16" s="1">
        <f>D16</f>
        <v>100000</v>
      </c>
      <c r="H16" s="1">
        <f>G16-F16</f>
        <v>-43750</v>
      </c>
      <c r="K16" s="22" t="s">
        <v>39</v>
      </c>
      <c r="L16" s="23"/>
      <c r="M16" s="23"/>
      <c r="N16" s="24"/>
      <c r="O16" s="24"/>
      <c r="P16" s="16">
        <f>P15+P14</f>
        <v>50500</v>
      </c>
    </row>
    <row r="17" spans="2:16" ht="15">
      <c r="B17" s="11" t="s">
        <v>9</v>
      </c>
      <c r="C17" s="13">
        <f>SUM(C14:C16)</f>
        <v>450000</v>
      </c>
      <c r="D17" s="13">
        <f>SUM(D14:D16)</f>
        <v>406250</v>
      </c>
      <c r="N17" s="1"/>
      <c r="O17" s="1"/>
      <c r="P17" s="1"/>
    </row>
    <row r="18" spans="2:16" ht="15">
      <c r="B18" s="11" t="s">
        <v>15</v>
      </c>
      <c r="C18" s="12">
        <f>C17+C11</f>
        <v>1201250</v>
      </c>
      <c r="D18" s="12">
        <f>D17+D11</f>
        <v>1113750</v>
      </c>
      <c r="N18" s="1"/>
      <c r="O18" s="1"/>
      <c r="P18" s="1"/>
    </row>
    <row r="19" spans="2:16" ht="15">
      <c r="B19" s="2" t="s">
        <v>16</v>
      </c>
      <c r="C19" s="3" t="s">
        <v>2</v>
      </c>
      <c r="D19" s="3" t="s">
        <v>1</v>
      </c>
      <c r="N19" s="1"/>
      <c r="O19" s="1"/>
      <c r="P19" s="1"/>
    </row>
    <row r="20" spans="2:16" ht="15">
      <c r="B20" s="4" t="s">
        <v>17</v>
      </c>
      <c r="C20" s="7"/>
      <c r="D20" s="7"/>
      <c r="N20" s="1"/>
      <c r="O20" s="1"/>
      <c r="P20" s="1"/>
    </row>
    <row r="21" spans="2:16" ht="15">
      <c r="B21" s="6" t="s">
        <v>18</v>
      </c>
      <c r="C21" s="7">
        <v>20000</v>
      </c>
      <c r="D21" s="7">
        <v>140000</v>
      </c>
      <c r="F21" s="1">
        <f>C21</f>
        <v>20000</v>
      </c>
      <c r="G21" s="1">
        <f>D21</f>
        <v>140000</v>
      </c>
      <c r="H21" s="1">
        <f>G21-F21</f>
        <v>120000</v>
      </c>
      <c r="N21" s="1"/>
      <c r="O21" s="1"/>
      <c r="P21" s="1"/>
    </row>
    <row r="22" spans="2:4" ht="15">
      <c r="B22" s="6" t="s">
        <v>94</v>
      </c>
      <c r="C22" s="7">
        <v>187000</v>
      </c>
      <c r="D22" s="7">
        <v>0</v>
      </c>
    </row>
    <row r="23" spans="2:8" ht="15">
      <c r="B23" s="6" t="s">
        <v>19</v>
      </c>
      <c r="C23" s="9">
        <v>45000</v>
      </c>
      <c r="D23" s="9">
        <v>112500</v>
      </c>
      <c r="F23" s="1">
        <f>C23</f>
        <v>45000</v>
      </c>
      <c r="G23" s="1">
        <f>D23</f>
        <v>112500</v>
      </c>
      <c r="H23" s="1">
        <f>G23-F23</f>
        <v>67500</v>
      </c>
    </row>
    <row r="24" spans="2:4" ht="15">
      <c r="B24" s="11" t="s">
        <v>9</v>
      </c>
      <c r="C24" s="12">
        <f>SUM(C21:C23)</f>
        <v>252000</v>
      </c>
      <c r="D24" s="12">
        <f>SUM(D21:D23)</f>
        <v>252500</v>
      </c>
    </row>
    <row r="25" spans="2:4" ht="15">
      <c r="B25" s="4" t="s">
        <v>20</v>
      </c>
      <c r="C25" s="7"/>
      <c r="D25" s="7"/>
    </row>
    <row r="26" spans="2:4" ht="15">
      <c r="B26" s="6" t="s">
        <v>21</v>
      </c>
      <c r="C26" s="7"/>
      <c r="D26" s="7"/>
    </row>
    <row r="27" spans="2:4" ht="15">
      <c r="B27" s="6" t="s">
        <v>22</v>
      </c>
      <c r="C27" s="9">
        <v>200000</v>
      </c>
      <c r="D27" s="9">
        <v>150000</v>
      </c>
    </row>
    <row r="28" spans="2:4" ht="15">
      <c r="B28" s="11" t="s">
        <v>9</v>
      </c>
      <c r="C28" s="12">
        <f>C27</f>
        <v>200000</v>
      </c>
      <c r="D28" s="12">
        <f>D27</f>
        <v>150000</v>
      </c>
    </row>
    <row r="29" spans="2:4" ht="15">
      <c r="B29" s="4" t="s">
        <v>23</v>
      </c>
      <c r="C29" s="7"/>
      <c r="D29" s="7"/>
    </row>
    <row r="30" spans="2:4" ht="15">
      <c r="B30" s="6" t="s">
        <v>24</v>
      </c>
      <c r="C30" s="7">
        <f>U8</f>
        <v>437500</v>
      </c>
      <c r="D30" s="7">
        <v>375000</v>
      </c>
    </row>
    <row r="31" spans="2:4" ht="15">
      <c r="B31" s="6" t="s">
        <v>25</v>
      </c>
      <c r="C31" s="7">
        <f>V8</f>
        <v>62500</v>
      </c>
      <c r="D31" s="7">
        <v>56250</v>
      </c>
    </row>
    <row r="32" spans="2:4" ht="15">
      <c r="B32" s="6" t="s">
        <v>26</v>
      </c>
      <c r="C32" s="9">
        <f>W8</f>
        <v>249250</v>
      </c>
      <c r="D32" s="9">
        <v>280000</v>
      </c>
    </row>
    <row r="33" spans="2:4" ht="15">
      <c r="B33" s="11" t="s">
        <v>9</v>
      </c>
      <c r="C33" s="13">
        <f>SUM(C30:C32)</f>
        <v>749250</v>
      </c>
      <c r="D33" s="13">
        <f>SUM(D30:D32)</f>
        <v>711250</v>
      </c>
    </row>
    <row r="34" spans="2:4" ht="15">
      <c r="B34" s="14" t="s">
        <v>27</v>
      </c>
      <c r="C34" s="15">
        <f>C33+C28+C24</f>
        <v>1201250</v>
      </c>
      <c r="D34" s="15">
        <f>D33+D28+D24</f>
        <v>1113750</v>
      </c>
    </row>
    <row r="35" ht="15">
      <c r="D35" s="1"/>
    </row>
    <row r="36" ht="15">
      <c r="C36" s="1"/>
    </row>
    <row r="37" ht="15">
      <c r="C37" s="1"/>
    </row>
  </sheetData>
  <sheetProtection/>
  <mergeCells count="15">
    <mergeCell ref="B2:D2"/>
    <mergeCell ref="K2:P2"/>
    <mergeCell ref="R2:Y2"/>
    <mergeCell ref="R3:T3"/>
    <mergeCell ref="W3:X3"/>
    <mergeCell ref="R4:T4"/>
    <mergeCell ref="W4:X4"/>
    <mergeCell ref="R8:T8"/>
    <mergeCell ref="W8:X8"/>
    <mergeCell ref="R5:T5"/>
    <mergeCell ref="W5:X5"/>
    <mergeCell ref="R6:T6"/>
    <mergeCell ref="W6:X6"/>
    <mergeCell ref="R7:T7"/>
    <mergeCell ref="W7:X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28" customWidth="1"/>
    <col min="2" max="2" width="27.00390625" style="28" bestFit="1" customWidth="1"/>
    <col min="3" max="3" width="9.8515625" style="28" bestFit="1" customWidth="1"/>
    <col min="4" max="4" width="9.140625" style="28" customWidth="1"/>
    <col min="5" max="5" width="26.7109375" style="28" bestFit="1" customWidth="1"/>
    <col min="6" max="6" width="16.28125" style="28" customWidth="1"/>
    <col min="7" max="7" width="9.140625" style="28" customWidth="1"/>
    <col min="8" max="8" width="29.140625" style="28" bestFit="1" customWidth="1"/>
    <col min="9" max="10" width="9.140625" style="28" customWidth="1"/>
    <col min="11" max="11" width="10.28125" style="28" bestFit="1" customWidth="1"/>
    <col min="12" max="12" width="12.7109375" style="28" customWidth="1"/>
    <col min="13" max="16384" width="9.140625" style="28" customWidth="1"/>
  </cols>
  <sheetData>
    <row r="1" spans="2:9" ht="15">
      <c r="B1" s="78" t="s">
        <v>53</v>
      </c>
      <c r="C1" s="78"/>
      <c r="D1" s="78"/>
      <c r="E1" s="78"/>
      <c r="F1" s="78"/>
      <c r="G1" s="78"/>
      <c r="H1" s="78"/>
      <c r="I1" s="78"/>
    </row>
    <row r="2" spans="2:9" ht="15">
      <c r="B2" s="29"/>
      <c r="C2" s="29"/>
      <c r="D2" s="29"/>
      <c r="E2" s="29"/>
      <c r="F2" s="29"/>
      <c r="G2" s="29"/>
      <c r="H2" s="29"/>
      <c r="I2" s="29"/>
    </row>
    <row r="3" spans="2:9" ht="15">
      <c r="B3" s="29"/>
      <c r="C3" s="29"/>
      <c r="D3" s="29"/>
      <c r="E3" s="29"/>
      <c r="F3" s="29"/>
      <c r="G3" s="29"/>
      <c r="H3" s="29"/>
      <c r="I3" s="29"/>
    </row>
    <row r="4" spans="2:9" ht="15.75" thickBot="1">
      <c r="B4" s="29"/>
      <c r="C4" s="29"/>
      <c r="D4" s="29"/>
      <c r="E4" s="29"/>
      <c r="F4" s="29"/>
      <c r="G4" s="29"/>
      <c r="H4" s="29"/>
      <c r="I4" s="29"/>
    </row>
    <row r="5" spans="2:9" ht="15">
      <c r="B5" s="76" t="s">
        <v>85</v>
      </c>
      <c r="C5" s="77"/>
      <c r="E5" s="76" t="str">
        <f>Demonstrações_Contábeis!B21</f>
        <v>Fornecedores</v>
      </c>
      <c r="F5" s="77"/>
      <c r="H5" s="76" t="str">
        <f>Demonstrações_Contábeis!B27</f>
        <v>Financiamentos no Exterior</v>
      </c>
      <c r="I5" s="77"/>
    </row>
    <row r="6" spans="2:9" ht="15">
      <c r="B6" s="30" t="s">
        <v>49</v>
      </c>
      <c r="C6" s="38">
        <f>Demonstrações_Contábeis!D6+Demonstrações_Contábeis!D8+Demonstrações_Contábeis!D7</f>
        <v>521250</v>
      </c>
      <c r="E6" s="30" t="s">
        <v>49</v>
      </c>
      <c r="F6" s="38">
        <f>Demonstrações_Contábeis!D21</f>
        <v>140000</v>
      </c>
      <c r="H6" s="30" t="s">
        <v>49</v>
      </c>
      <c r="I6" s="38">
        <f>Demonstrações_Contábeis!D27</f>
        <v>150000</v>
      </c>
    </row>
    <row r="7" spans="2:9" ht="15">
      <c r="B7" s="30" t="s">
        <v>50</v>
      </c>
      <c r="C7" s="38">
        <f>Demonstrações_Contábeis!P3</f>
        <v>4500000</v>
      </c>
      <c r="E7" s="30" t="s">
        <v>68</v>
      </c>
      <c r="F7" s="38">
        <f>-Demonstrações_Contábeis!P4</f>
        <v>3500000</v>
      </c>
      <c r="H7" s="35" t="str">
        <f>Demonstrações_Contábeis!K10</f>
        <v>Variação Cambial</v>
      </c>
      <c r="I7" s="58">
        <f>Demonstrações_Contábeis!O10</f>
        <v>50000</v>
      </c>
    </row>
    <row r="8" spans="2:9" ht="15.75" thickBot="1">
      <c r="B8" s="30" t="str">
        <f>Demonstrações_Contábeis!K8</f>
        <v>Devedores Duvidosos</v>
      </c>
      <c r="C8" s="38">
        <f>-Demonstrações_Contábeis!O8</f>
        <v>-12500</v>
      </c>
      <c r="E8" s="35" t="s">
        <v>77</v>
      </c>
      <c r="F8" s="58">
        <f>-(F6+F7-F9)</f>
        <v>-3620000</v>
      </c>
      <c r="H8" s="31" t="s">
        <v>51</v>
      </c>
      <c r="I8" s="39">
        <f>Demonstrações_Contábeis!C27</f>
        <v>200000</v>
      </c>
    </row>
    <row r="9" spans="2:6" ht="15.75" thickBot="1">
      <c r="B9" s="35" t="s">
        <v>52</v>
      </c>
      <c r="C9" s="58">
        <f>-(C6+C7-C10)-C8</f>
        <v>-4796250</v>
      </c>
      <c r="E9" s="31" t="s">
        <v>51</v>
      </c>
      <c r="F9" s="39">
        <f>Demonstrações_Contábeis!C21</f>
        <v>20000</v>
      </c>
    </row>
    <row r="10" spans="2:3" ht="15.75" thickBot="1">
      <c r="B10" s="31" t="s">
        <v>51</v>
      </c>
      <c r="C10" s="39">
        <f>Demonstrações_Contábeis!C6+Demonstrações_Contábeis!C7</f>
        <v>212500</v>
      </c>
    </row>
    <row r="11" spans="5:9" ht="15">
      <c r="E11" s="76" t="str">
        <f>Demonstrações_Contábeis!B23</f>
        <v>Impostos a Pagar</v>
      </c>
      <c r="F11" s="77"/>
      <c r="H11" s="76" t="s">
        <v>71</v>
      </c>
      <c r="I11" s="77"/>
    </row>
    <row r="12" spans="2:9" ht="15">
      <c r="B12" s="32" t="s">
        <v>74</v>
      </c>
      <c r="E12" s="30" t="s">
        <v>49</v>
      </c>
      <c r="F12" s="38">
        <f>Demonstrações_Contábeis!D23</f>
        <v>112500</v>
      </c>
      <c r="H12" s="30" t="s">
        <v>72</v>
      </c>
      <c r="I12" s="38">
        <f>-Demonstrações_Contábeis!P11</f>
        <v>867500</v>
      </c>
    </row>
    <row r="13" spans="2:9" ht="15">
      <c r="B13" s="32" t="s">
        <v>75</v>
      </c>
      <c r="E13" s="30" t="s">
        <v>69</v>
      </c>
      <c r="F13" s="38">
        <f>-Demonstrações_Contábeis!P15</f>
        <v>45000</v>
      </c>
      <c r="H13" s="33" t="str">
        <f>Demonstrações_Contábeis!K7</f>
        <v>Depreciação</v>
      </c>
      <c r="I13" s="38">
        <f>-Demonstrações_Contábeis!O7</f>
        <v>-50000</v>
      </c>
    </row>
    <row r="14" spans="5:9" ht="15">
      <c r="E14" s="30" t="s">
        <v>93</v>
      </c>
      <c r="F14" s="38">
        <v>-15000</v>
      </c>
      <c r="H14" s="30" t="str">
        <f>Demonstrações_Contábeis!K10</f>
        <v>Variação Cambial</v>
      </c>
      <c r="I14" s="38">
        <f>-Demonstrações_Contábeis!O10</f>
        <v>-50000</v>
      </c>
    </row>
    <row r="15" spans="5:9" ht="15">
      <c r="E15" s="35" t="s">
        <v>76</v>
      </c>
      <c r="F15" s="58">
        <f>-(F12+F13-F16+F14)</f>
        <v>-97500</v>
      </c>
      <c r="H15" s="30" t="s">
        <v>33</v>
      </c>
      <c r="I15" s="38">
        <f>-Demonstrações_Contábeis!O8</f>
        <v>-12500</v>
      </c>
    </row>
    <row r="16" spans="5:9" ht="15.75" thickBot="1">
      <c r="E16" s="31" t="s">
        <v>51</v>
      </c>
      <c r="F16" s="39">
        <f>Demonstrações_Contábeis!C23</f>
        <v>45000</v>
      </c>
      <c r="H16" s="30" t="s">
        <v>73</v>
      </c>
      <c r="I16" s="38">
        <f>(Demonstrações_Contábeis!C9-Demonstrações_Contábeis!D9)</f>
        <v>-1250</v>
      </c>
    </row>
    <row r="17" spans="8:9" ht="15.75" thickBot="1">
      <c r="H17" s="36" t="s">
        <v>70</v>
      </c>
      <c r="I17" s="40">
        <f>I12+SUM(I13:I16)</f>
        <v>753750</v>
      </c>
    </row>
    <row r="18" ht="15.75" thickBot="1">
      <c r="I18" s="37"/>
    </row>
    <row r="19" spans="5:9" ht="15">
      <c r="E19" s="76" t="s">
        <v>94</v>
      </c>
      <c r="F19" s="77"/>
      <c r="I19" s="34"/>
    </row>
    <row r="20" spans="5:6" ht="15">
      <c r="E20" s="30" t="s">
        <v>49</v>
      </c>
      <c r="F20" s="38">
        <v>0</v>
      </c>
    </row>
    <row r="21" spans="5:6" ht="15">
      <c r="E21" s="30" t="s">
        <v>97</v>
      </c>
      <c r="F21" s="38">
        <v>200000</v>
      </c>
    </row>
    <row r="22" spans="5:8" ht="15">
      <c r="E22" s="30" t="s">
        <v>96</v>
      </c>
      <c r="F22" s="38">
        <v>37000</v>
      </c>
      <c r="H22" s="34"/>
    </row>
    <row r="23" spans="5:6" ht="15">
      <c r="E23" s="35" t="s">
        <v>98</v>
      </c>
      <c r="F23" s="58">
        <f>-(F20+F21-F24+F22)</f>
        <v>-50000</v>
      </c>
    </row>
    <row r="24" spans="5:9" ht="15.75" thickBot="1">
      <c r="E24" s="31" t="s">
        <v>51</v>
      </c>
      <c r="F24" s="39">
        <v>187000</v>
      </c>
      <c r="I24" s="34"/>
    </row>
    <row r="25" ht="15">
      <c r="I25" s="34"/>
    </row>
    <row r="26" ht="15">
      <c r="I26" s="34"/>
    </row>
    <row r="27" ht="15">
      <c r="I27" s="34"/>
    </row>
    <row r="28" ht="15">
      <c r="I28" s="34"/>
    </row>
    <row r="29" ht="15">
      <c r="I29" s="34"/>
    </row>
    <row r="30" ht="15">
      <c r="I30" s="34"/>
    </row>
    <row r="31" ht="15">
      <c r="I31" s="34"/>
    </row>
    <row r="32" ht="15">
      <c r="I32" s="34"/>
    </row>
    <row r="33" ht="15">
      <c r="I33" s="34"/>
    </row>
    <row r="34" ht="15">
      <c r="I34" s="34"/>
    </row>
    <row r="35" ht="15">
      <c r="I35" s="34"/>
    </row>
    <row r="36" ht="15">
      <c r="I36" s="34"/>
    </row>
    <row r="37" spans="7:9" ht="15">
      <c r="G37" s="34"/>
      <c r="I37" s="34"/>
    </row>
    <row r="38" spans="7:9" ht="15">
      <c r="G38" s="34"/>
      <c r="H38" s="34"/>
      <c r="I38" s="34"/>
    </row>
    <row r="39" spans="7:9" ht="15">
      <c r="G39" s="34"/>
      <c r="H39" s="34"/>
      <c r="I39" s="34"/>
    </row>
    <row r="40" spans="8:9" ht="15">
      <c r="H40" s="34"/>
      <c r="I40" s="34"/>
    </row>
  </sheetData>
  <sheetProtection/>
  <mergeCells count="7">
    <mergeCell ref="E19:F19"/>
    <mergeCell ref="B1:I1"/>
    <mergeCell ref="B5:C5"/>
    <mergeCell ref="E5:F5"/>
    <mergeCell ref="H5:I5"/>
    <mergeCell ref="E11:F11"/>
    <mergeCell ref="H11:I11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7.00390625" style="28" bestFit="1" customWidth="1"/>
    <col min="2" max="2" width="9.8515625" style="28" bestFit="1" customWidth="1"/>
    <col min="3" max="3" width="9.140625" style="28" customWidth="1"/>
    <col min="4" max="4" width="51.8515625" style="28" bestFit="1" customWidth="1"/>
    <col min="5" max="5" width="8.28125" style="28" bestFit="1" customWidth="1"/>
    <col min="6" max="16384" width="9.140625" style="28" customWidth="1"/>
  </cols>
  <sheetData>
    <row r="1" ht="15.75" thickBot="1"/>
    <row r="2" spans="1:5" ht="15.75" thickBot="1">
      <c r="A2" s="79" t="s">
        <v>83</v>
      </c>
      <c r="B2" s="80"/>
      <c r="D2" s="79" t="s">
        <v>84</v>
      </c>
      <c r="E2" s="80"/>
    </row>
    <row r="3" spans="1:5" ht="15">
      <c r="A3" s="41" t="s">
        <v>54</v>
      </c>
      <c r="B3" s="42"/>
      <c r="D3" s="43" t="s">
        <v>54</v>
      </c>
      <c r="E3" s="44"/>
    </row>
    <row r="4" spans="1:5" ht="15">
      <c r="A4" s="45" t="s">
        <v>55</v>
      </c>
      <c r="B4" s="59">
        <f>-Movimentação_Analítica!C9</f>
        <v>4796250</v>
      </c>
      <c r="D4" s="46" t="s">
        <v>56</v>
      </c>
      <c r="E4" s="38">
        <f>Demonstrações_Contábeis!P16</f>
        <v>50500</v>
      </c>
    </row>
    <row r="5" spans="1:5" ht="15">
      <c r="A5" s="45" t="s">
        <v>57</v>
      </c>
      <c r="B5" s="59">
        <f>Movimentação_Analítica!F8</f>
        <v>-3620000</v>
      </c>
      <c r="D5" s="47" t="s">
        <v>58</v>
      </c>
      <c r="E5" s="38">
        <f>Demonstrações_Contábeis!O7</f>
        <v>50000</v>
      </c>
    </row>
    <row r="6" spans="1:5" ht="15">
      <c r="A6" s="45" t="s">
        <v>59</v>
      </c>
      <c r="B6" s="59">
        <f>-Movimentação_Analítica!I17</f>
        <v>-753750</v>
      </c>
      <c r="D6" s="47" t="s">
        <v>100</v>
      </c>
      <c r="E6" s="38">
        <f>Demonstrações_Contábeis!O13</f>
        <v>37000</v>
      </c>
    </row>
    <row r="7" spans="1:5" ht="15">
      <c r="A7" s="45" t="s">
        <v>61</v>
      </c>
      <c r="B7" s="60">
        <f>Movimentação_Analítica!F15</f>
        <v>-97500</v>
      </c>
      <c r="D7" s="47" t="s">
        <v>88</v>
      </c>
      <c r="E7" s="38">
        <f>Demonstrações_Contábeis!O10</f>
        <v>50000</v>
      </c>
    </row>
    <row r="8" spans="1:6" ht="15">
      <c r="A8" s="45"/>
      <c r="B8" s="48"/>
      <c r="D8" s="47" t="s">
        <v>101</v>
      </c>
      <c r="E8" s="38">
        <f>Demonstrações_Contábeis!D10</f>
        <v>15000</v>
      </c>
      <c r="F8" s="34"/>
    </row>
    <row r="9" spans="1:5" ht="15">
      <c r="A9" s="45"/>
      <c r="B9" s="48"/>
      <c r="D9" s="46" t="s">
        <v>60</v>
      </c>
      <c r="E9" s="38">
        <f>-(Demonstrações_Contábeis!D21-Demonstrações_Contábeis!C21)</f>
        <v>-120000</v>
      </c>
    </row>
    <row r="10" spans="1:5" ht="15">
      <c r="A10" s="45"/>
      <c r="B10" s="48"/>
      <c r="D10" s="52" t="s">
        <v>62</v>
      </c>
      <c r="E10" s="38">
        <f>Demonstrações_Contábeis!D9-Demonstrações_Contábeis!C9</f>
        <v>1250</v>
      </c>
    </row>
    <row r="11" spans="1:5" ht="15">
      <c r="A11" s="45"/>
      <c r="B11" s="48"/>
      <c r="D11" s="52" t="s">
        <v>90</v>
      </c>
      <c r="E11" s="38">
        <f>SUM(Demonstrações_Contábeis!D6:D8)-SUM(Demonstrações_Contábeis!C6:C8)</f>
        <v>308750</v>
      </c>
    </row>
    <row r="12" spans="1:5" ht="15">
      <c r="A12" s="45"/>
      <c r="B12" s="48"/>
      <c r="D12" s="46" t="s">
        <v>89</v>
      </c>
      <c r="E12" s="62">
        <f>-(Demonstrações_Contábeis!D23-Demonstrações_Contábeis!C23)</f>
        <v>-67500</v>
      </c>
    </row>
    <row r="13" spans="1:7" ht="15.75" thickBot="1">
      <c r="A13" s="49" t="s">
        <v>63</v>
      </c>
      <c r="B13" s="61">
        <f>SUM(B4:B7)</f>
        <v>325000</v>
      </c>
      <c r="D13" s="53" t="s">
        <v>63</v>
      </c>
      <c r="E13" s="40">
        <f>SUM(E4:E12)</f>
        <v>325000</v>
      </c>
      <c r="G13" s="34"/>
    </row>
    <row r="14" spans="1:5" ht="15">
      <c r="A14" s="50" t="s">
        <v>64</v>
      </c>
      <c r="B14" s="51"/>
      <c r="D14" s="50" t="s">
        <v>64</v>
      </c>
      <c r="E14" s="51"/>
    </row>
    <row r="15" spans="1:5" ht="15">
      <c r="A15" s="45" t="s">
        <v>78</v>
      </c>
      <c r="B15" s="59">
        <f>Demonstrações_Contábeis!$C$14-Demonstrações_Contábeis!$D$14</f>
        <v>50000</v>
      </c>
      <c r="D15" s="45" t="s">
        <v>78</v>
      </c>
      <c r="E15" s="59">
        <f>Demonstrações_Contábeis!$C$14-Demonstrações_Contábeis!$D$14</f>
        <v>50000</v>
      </c>
    </row>
    <row r="16" spans="1:5" ht="15">
      <c r="A16" s="45" t="s">
        <v>79</v>
      </c>
      <c r="B16" s="59">
        <f>Demonstrações_Contábeis!$C$16-Demonstrações_Contábeis!$D$16</f>
        <v>43750</v>
      </c>
      <c r="D16" s="45" t="s">
        <v>79</v>
      </c>
      <c r="E16" s="59">
        <f>Demonstrações_Contábeis!$C$16-Demonstrações_Contábeis!$D$16</f>
        <v>43750</v>
      </c>
    </row>
    <row r="17" spans="1:7" ht="15.75" thickBot="1">
      <c r="A17" s="49" t="s">
        <v>65</v>
      </c>
      <c r="B17" s="61">
        <f>SUM(B14:B16)</f>
        <v>93750</v>
      </c>
      <c r="D17" s="49" t="s">
        <v>65</v>
      </c>
      <c r="E17" s="61">
        <f>SUM(E14:E16)</f>
        <v>93750</v>
      </c>
      <c r="G17" s="34"/>
    </row>
    <row r="18" spans="1:5" ht="15">
      <c r="A18" s="50" t="s">
        <v>66</v>
      </c>
      <c r="B18" s="51"/>
      <c r="D18" s="50" t="s">
        <v>66</v>
      </c>
      <c r="E18" s="51"/>
    </row>
    <row r="19" spans="1:5" ht="15">
      <c r="A19" s="45" t="s">
        <v>45</v>
      </c>
      <c r="B19" s="59">
        <f>Demonstrações_Contábeis!U5</f>
        <v>62500</v>
      </c>
      <c r="D19" s="45" t="s">
        <v>45</v>
      </c>
      <c r="E19" s="59">
        <f>Demonstrações_Contábeis!$U$5+Demonstrações_Contábeis!$W$5</f>
        <v>62500</v>
      </c>
    </row>
    <row r="20" spans="1:5" ht="15">
      <c r="A20" s="54" t="s">
        <v>67</v>
      </c>
      <c r="B20" s="59">
        <f>Demonstrações_Contábeis!$W$7</f>
        <v>-75000</v>
      </c>
      <c r="D20" s="54" t="s">
        <v>67</v>
      </c>
      <c r="E20" s="59">
        <f>Demonstrações_Contábeis!$W$7</f>
        <v>-75000</v>
      </c>
    </row>
    <row r="21" spans="1:5" ht="15">
      <c r="A21" s="45" t="s">
        <v>97</v>
      </c>
      <c r="B21" s="59">
        <f>Movimentação_Analítica!F21</f>
        <v>200000</v>
      </c>
      <c r="D21" s="45" t="s">
        <v>97</v>
      </c>
      <c r="E21" s="59">
        <f>Movimentação_Analítica!F21</f>
        <v>200000</v>
      </c>
    </row>
    <row r="22" spans="1:5" ht="15">
      <c r="A22" s="54" t="s">
        <v>99</v>
      </c>
      <c r="B22" s="59">
        <f>Movimentação_Analítica!F23</f>
        <v>-50000</v>
      </c>
      <c r="D22" s="54" t="s">
        <v>99</v>
      </c>
      <c r="E22" s="59">
        <f>Movimentação_Analítica!F23</f>
        <v>-50000</v>
      </c>
    </row>
    <row r="23" spans="1:7" ht="15.75" thickBot="1">
      <c r="A23" s="49" t="s">
        <v>102</v>
      </c>
      <c r="B23" s="61">
        <f>SUM(B19:B22)</f>
        <v>137500</v>
      </c>
      <c r="D23" s="49" t="s">
        <v>102</v>
      </c>
      <c r="E23" s="61">
        <f>SUM(E19:E22)</f>
        <v>137500</v>
      </c>
      <c r="G23" s="34"/>
    </row>
    <row r="24" spans="1:7" ht="15.75" thickBot="1">
      <c r="A24" s="49" t="s">
        <v>87</v>
      </c>
      <c r="B24" s="61">
        <f>B13-B17+B23</f>
        <v>368750</v>
      </c>
      <c r="D24" s="49" t="s">
        <v>87</v>
      </c>
      <c r="E24" s="61">
        <f>E13-E17+E23</f>
        <v>368750</v>
      </c>
      <c r="G24" s="34"/>
    </row>
    <row r="25" ht="15.75" thickBot="1"/>
    <row r="26" spans="1:2" ht="15.75" thickBot="1">
      <c r="A26" s="79" t="s">
        <v>86</v>
      </c>
      <c r="B26" s="80"/>
    </row>
    <row r="27" spans="1:2" ht="15">
      <c r="A27" s="42" t="s">
        <v>80</v>
      </c>
      <c r="B27" s="63">
        <f>Demonstrações_Contábeis!D5</f>
        <v>168750</v>
      </c>
    </row>
    <row r="28" spans="1:2" ht="15.75" thickBot="1">
      <c r="A28" s="55" t="s">
        <v>81</v>
      </c>
      <c r="B28" s="38">
        <f>Demonstrações_Contábeis!C5</f>
        <v>537500</v>
      </c>
    </row>
    <row r="29" spans="1:4" ht="15.75" thickBot="1">
      <c r="A29" s="56" t="s">
        <v>82</v>
      </c>
      <c r="B29" s="64">
        <f>B28-B27</f>
        <v>368750</v>
      </c>
      <c r="D29" s="34"/>
    </row>
    <row r="30" ht="15">
      <c r="D30" s="34"/>
    </row>
    <row r="31" ht="15">
      <c r="B31" s="34"/>
    </row>
  </sheetData>
  <sheetProtection/>
  <mergeCells count="3">
    <mergeCell ref="A2:B2"/>
    <mergeCell ref="D2:E2"/>
    <mergeCell ref="A26:B2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Thiago Gomes Arantes</cp:lastModifiedBy>
  <dcterms:created xsi:type="dcterms:W3CDTF">2009-07-30T20:48:34Z</dcterms:created>
  <dcterms:modified xsi:type="dcterms:W3CDTF">2018-02-15T01:59:01Z</dcterms:modified>
  <cp:category/>
  <cp:version/>
  <cp:contentType/>
  <cp:contentStatus/>
</cp:coreProperties>
</file>